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за полугодие инвест 2021год\"/>
    </mc:Choice>
  </mc:AlternateContent>
  <bookViews>
    <workbookView xWindow="240" yWindow="60" windowWidth="20115" windowHeight="7770"/>
  </bookViews>
  <sheets>
    <sheet name="2 полуг.2021года" sheetId="6" r:id="rId1"/>
  </sheets>
  <calcPr calcId="162913"/>
</workbook>
</file>

<file path=xl/calcChain.xml><?xml version="1.0" encoding="utf-8"?>
<calcChain xmlns="http://schemas.openxmlformats.org/spreadsheetml/2006/main">
  <c r="F41" i="6" l="1"/>
  <c r="H41" i="6"/>
  <c r="H40" i="6"/>
  <c r="F40" i="6"/>
  <c r="F15" i="6" l="1"/>
  <c r="F65" i="6"/>
  <c r="H65" i="6" s="1"/>
  <c r="F64" i="6"/>
  <c r="H64" i="6" s="1"/>
  <c r="H29" i="6"/>
  <c r="F29" i="6"/>
  <c r="F22" i="6"/>
  <c r="F24" i="6"/>
  <c r="F21" i="6"/>
  <c r="H72" i="6"/>
  <c r="F72" i="6"/>
  <c r="H71" i="6"/>
  <c r="F71" i="6"/>
  <c r="F68" i="6"/>
  <c r="H60" i="6"/>
  <c r="H62" i="6"/>
  <c r="H63" i="6"/>
  <c r="H52" i="6"/>
  <c r="H53" i="6"/>
  <c r="H54" i="6"/>
  <c r="H55" i="6"/>
  <c r="H56" i="6"/>
  <c r="H57" i="6"/>
  <c r="H58" i="6"/>
  <c r="H59" i="6"/>
  <c r="H49" i="6"/>
  <c r="H50" i="6"/>
  <c r="H51" i="6"/>
  <c r="H46" i="6"/>
  <c r="H39" i="6"/>
  <c r="H43" i="6"/>
  <c r="H32" i="6"/>
  <c r="H33" i="6"/>
  <c r="H36" i="6"/>
  <c r="H37" i="6"/>
  <c r="H38" i="6"/>
  <c r="F63" i="6"/>
  <c r="F62" i="6"/>
  <c r="F50" i="6"/>
  <c r="F51" i="6"/>
  <c r="F52" i="6"/>
  <c r="F53" i="6"/>
  <c r="F54" i="6"/>
  <c r="F55" i="6"/>
  <c r="F56" i="6"/>
  <c r="F57" i="6"/>
  <c r="F58" i="6"/>
  <c r="F59" i="6"/>
  <c r="F60" i="6"/>
  <c r="F49" i="6"/>
  <c r="F46" i="6"/>
  <c r="F43" i="6"/>
  <c r="F37" i="6"/>
  <c r="F38" i="6"/>
  <c r="F39" i="6"/>
  <c r="F36" i="6"/>
  <c r="F33" i="6"/>
  <c r="F32" i="6"/>
  <c r="F30" i="6"/>
  <c r="F27" i="6"/>
  <c r="D27" i="6"/>
  <c r="D24" i="6"/>
  <c r="F18" i="6"/>
  <c r="F19" i="6"/>
  <c r="H19" i="6" s="1"/>
  <c r="F17" i="6"/>
  <c r="H27" i="6"/>
  <c r="H30" i="6"/>
  <c r="H24" i="6"/>
  <c r="H18" i="6"/>
  <c r="F34" i="6"/>
  <c r="H17" i="6"/>
  <c r="E63" i="6"/>
  <c r="E62" i="6"/>
  <c r="E59" i="6"/>
  <c r="E58" i="6"/>
  <c r="E57" i="6"/>
  <c r="E56" i="6"/>
  <c r="E55" i="6"/>
  <c r="E54" i="6"/>
  <c r="E53" i="6"/>
  <c r="E52" i="6"/>
  <c r="E51" i="6"/>
  <c r="E50" i="6"/>
  <c r="E49" i="6"/>
  <c r="E47" i="6"/>
  <c r="E46" i="6"/>
  <c r="E43" i="6"/>
  <c r="E39" i="6"/>
  <c r="E38" i="6"/>
  <c r="E37" i="6"/>
  <c r="E36" i="6"/>
  <c r="E33" i="6"/>
  <c r="E30" i="6"/>
  <c r="E32" i="6"/>
  <c r="E29" i="6"/>
  <c r="E28" i="6"/>
  <c r="E27" i="6"/>
  <c r="E24" i="6"/>
  <c r="E19" i="6"/>
  <c r="E18" i="6"/>
  <c r="E17" i="6"/>
  <c r="D65" i="6"/>
  <c r="D64" i="6"/>
  <c r="D63" i="6"/>
  <c r="D62" i="6"/>
  <c r="G61" i="6"/>
  <c r="E61" i="6"/>
  <c r="D61" i="6"/>
  <c r="D60" i="6"/>
  <c r="D59" i="6"/>
  <c r="D58" i="6"/>
  <c r="D57" i="6"/>
  <c r="D56" i="6"/>
  <c r="D55" i="6"/>
  <c r="D53" i="6"/>
  <c r="D52" i="6"/>
  <c r="D51" i="6"/>
  <c r="D50" i="6"/>
  <c r="D48" i="6" s="1"/>
  <c r="D41" i="6" s="1"/>
  <c r="D40" i="6" s="1"/>
  <c r="D49" i="6"/>
  <c r="G48" i="6"/>
  <c r="G41" i="6" s="1"/>
  <c r="E48" i="6"/>
  <c r="D46" i="6"/>
  <c r="D44" i="6"/>
  <c r="D43" i="6"/>
  <c r="D39" i="6"/>
  <c r="D38" i="6"/>
  <c r="D37" i="6"/>
  <c r="D36" i="6"/>
  <c r="G34" i="6"/>
  <c r="H34" i="6" s="1"/>
  <c r="E34" i="6"/>
  <c r="D33" i="6"/>
  <c r="D32" i="6"/>
  <c r="D30" i="6" s="1"/>
  <c r="G22" i="6"/>
  <c r="H22" i="6" s="1"/>
  <c r="E22" i="6"/>
  <c r="D22" i="6"/>
  <c r="D21" i="6"/>
  <c r="D19" i="6"/>
  <c r="D18" i="6"/>
  <c r="D17" i="6"/>
  <c r="G15" i="6"/>
  <c r="H15" i="6" s="1"/>
  <c r="F13" i="6"/>
  <c r="E15" i="6"/>
  <c r="D15" i="6"/>
  <c r="G13" i="6" l="1"/>
  <c r="H13" i="6" s="1"/>
  <c r="E41" i="6"/>
  <c r="E40" i="6" s="1"/>
  <c r="E13" i="6"/>
  <c r="E67" i="6" s="1"/>
  <c r="G40" i="6"/>
  <c r="D34" i="6"/>
  <c r="G67" i="6" l="1"/>
  <c r="H67" i="6" s="1"/>
  <c r="D13" i="6"/>
  <c r="G68" i="6" l="1"/>
  <c r="D67" i="6"/>
  <c r="F67" i="6" s="1"/>
</calcChain>
</file>

<file path=xl/sharedStrings.xml><?xml version="1.0" encoding="utf-8"?>
<sst xmlns="http://schemas.openxmlformats.org/spreadsheetml/2006/main" count="239" uniqueCount="143">
  <si>
    <t>№ п/п</t>
  </si>
  <si>
    <t>Наименование показателей*</t>
  </si>
  <si>
    <t>Ед. изм.</t>
  </si>
  <si>
    <t>I</t>
  </si>
  <si>
    <t>Затраты на производство товаров и предоставление услуг, всего</t>
  </si>
  <si>
    <t>тыс. тенге</t>
  </si>
  <si>
    <t>в том числе</t>
  </si>
  <si>
    <t>Материальные затраты, всего</t>
  </si>
  <si>
    <t>1. 1.</t>
  </si>
  <si>
    <t>ГСМ</t>
  </si>
  <si>
    <t>1. 2.</t>
  </si>
  <si>
    <t>энергия (электроэнерния на технол)</t>
  </si>
  <si>
    <t>1.3.</t>
  </si>
  <si>
    <t>нормативные технические потери</t>
  </si>
  <si>
    <t>%</t>
  </si>
  <si>
    <t>тыс.Гкал</t>
  </si>
  <si>
    <t>Затраты на оплату труда, всего</t>
  </si>
  <si>
    <t>2.1.</t>
  </si>
  <si>
    <t xml:space="preserve">Заработная плата </t>
  </si>
  <si>
    <t>2.1.1.</t>
  </si>
  <si>
    <t>среднемесячная заработная плата</t>
  </si>
  <si>
    <t>тенге</t>
  </si>
  <si>
    <t>2.1.2.</t>
  </si>
  <si>
    <t>численность</t>
  </si>
  <si>
    <t>человек</t>
  </si>
  <si>
    <t>2.2.</t>
  </si>
  <si>
    <t>Социальный налог</t>
  </si>
  <si>
    <t xml:space="preserve">Амортизация </t>
  </si>
  <si>
    <t>Ремонт всего,</t>
  </si>
  <si>
    <t>4.1.</t>
  </si>
  <si>
    <t>5</t>
  </si>
  <si>
    <t xml:space="preserve">Услуги сторонних организаций </t>
  </si>
  <si>
    <t>6</t>
  </si>
  <si>
    <t>Прочие затраты,всего</t>
  </si>
  <si>
    <t>6.1</t>
  </si>
  <si>
    <t xml:space="preserve">Затраты по  ТБ и ОТ </t>
  </si>
  <si>
    <t>6.2</t>
  </si>
  <si>
    <t>Запасные части</t>
  </si>
  <si>
    <t>тыс.тенге</t>
  </si>
  <si>
    <t>6.3</t>
  </si>
  <si>
    <t>Коммунальные услуги</t>
  </si>
  <si>
    <t>6.4</t>
  </si>
  <si>
    <t>Прочие материалы</t>
  </si>
  <si>
    <t>II</t>
  </si>
  <si>
    <t>Расходы периода всего</t>
  </si>
  <si>
    <t>7</t>
  </si>
  <si>
    <t>Общие и административные расходы, всего</t>
  </si>
  <si>
    <t>7.1</t>
  </si>
  <si>
    <t>Заработная плата административного персонала</t>
  </si>
  <si>
    <t>7.1.1</t>
  </si>
  <si>
    <t>7.1.2</t>
  </si>
  <si>
    <t>7.2</t>
  </si>
  <si>
    <t>7.3</t>
  </si>
  <si>
    <t>налоги</t>
  </si>
  <si>
    <t>7.3.1</t>
  </si>
  <si>
    <t>налог на имущество</t>
  </si>
  <si>
    <t>7.3.2</t>
  </si>
  <si>
    <t>налог на транспорт</t>
  </si>
  <si>
    <t>7.3.3.</t>
  </si>
  <si>
    <t>земельный налог</t>
  </si>
  <si>
    <t>7.3.4.</t>
  </si>
  <si>
    <t>налог за использование РЧС</t>
  </si>
  <si>
    <t>7.3.5</t>
  </si>
  <si>
    <t>плата за эмиссию  в окружающую среду</t>
  </si>
  <si>
    <t>7.4</t>
  </si>
  <si>
    <t>амортизация</t>
  </si>
  <si>
    <t>7.5</t>
  </si>
  <si>
    <t>командировочные</t>
  </si>
  <si>
    <t>7.6</t>
  </si>
  <si>
    <t>коммунальные услуги</t>
  </si>
  <si>
    <t>7.7</t>
  </si>
  <si>
    <t>услуги связи</t>
  </si>
  <si>
    <t>7.8</t>
  </si>
  <si>
    <t>услуги банка</t>
  </si>
  <si>
    <t>7.9</t>
  </si>
  <si>
    <t>аудиторские, консалтинговые и маркетинговые услуги</t>
  </si>
  <si>
    <t>7.10</t>
  </si>
  <si>
    <t>периодическая печать</t>
  </si>
  <si>
    <t>7.11</t>
  </si>
  <si>
    <t>другие расходы</t>
  </si>
  <si>
    <t>7.11.1</t>
  </si>
  <si>
    <t xml:space="preserve">канцелярские расходы </t>
  </si>
  <si>
    <t>7.11.2</t>
  </si>
  <si>
    <t>страхование персонала  и медосмотр</t>
  </si>
  <si>
    <t>7.11.3</t>
  </si>
  <si>
    <t>материалы на содержание здания</t>
  </si>
  <si>
    <t>7.11.4</t>
  </si>
  <si>
    <t>услуги по обслуживанию оргтехники</t>
  </si>
  <si>
    <t>Затраты не предусмотр.тарифом</t>
  </si>
  <si>
    <t>III</t>
  </si>
  <si>
    <t xml:space="preserve">Всего затрат  </t>
  </si>
  <si>
    <t>IV</t>
  </si>
  <si>
    <t>Доход (РБА*СП)</t>
  </si>
  <si>
    <t>V</t>
  </si>
  <si>
    <t>Регулируемая база задействованных активов (РБА)</t>
  </si>
  <si>
    <t>VI</t>
  </si>
  <si>
    <t>Всего доходов (с учетом возмещения нормативных потерь)</t>
  </si>
  <si>
    <t>VII</t>
  </si>
  <si>
    <t xml:space="preserve"> Объем оказываемых услуг     </t>
  </si>
  <si>
    <t>тыс. Гкал</t>
  </si>
  <si>
    <t>VIII</t>
  </si>
  <si>
    <t>Тариф</t>
  </si>
  <si>
    <t>тенге/Гкал</t>
  </si>
  <si>
    <t>Фактически сложившиеся  показатели тарифной сметы</t>
  </si>
  <si>
    <t>Отклонение в %</t>
  </si>
  <si>
    <t>Причины отклонения</t>
  </si>
  <si>
    <t>Приложение 1</t>
  </si>
  <si>
    <t>к Правилам утверждения предельного уровня тарифов (цен, ставок, сборов) и тарифных смет на регулируемые услуги (товары, работы) субъектов естественных монополий</t>
  </si>
  <si>
    <t>Форма, предназначенная для сбора административных данных</t>
  </si>
  <si>
    <t>Индекс ИТС-1</t>
  </si>
  <si>
    <t>Периодичность: годовая</t>
  </si>
  <si>
    <t>Представляют: субъекты естественных монополий, за исключением региональной электросетеой компании</t>
  </si>
  <si>
    <t>Куда представляется форма: Комитет по регулированию естественных монополий и защите конкуренции Министерства национальной экономики Республики Казазстан</t>
  </si>
  <si>
    <t xml:space="preserve">Наименование организации </t>
  </si>
  <si>
    <t>КГП "Теплосервис-Аксу"</t>
  </si>
  <si>
    <t>Адрес</t>
  </si>
  <si>
    <t>г.Аксу, ул.Вокзальная,5</t>
  </si>
  <si>
    <t>Телефон</t>
  </si>
  <si>
    <t>8(71837)50130</t>
  </si>
  <si>
    <t>Адрес электронной почты</t>
  </si>
  <si>
    <t>Фамилия и телефон исполнителя</t>
  </si>
  <si>
    <t>Руководитель</t>
  </si>
  <si>
    <t>М.П.</t>
  </si>
  <si>
    <t>Сведения об исполнении тарифной сметы на  услуги по передаче и распределению тепловой энергии</t>
  </si>
  <si>
    <t>соответствует</t>
  </si>
  <si>
    <t>Капитальный ремонт, не приводящий к росту стоимости основных фондов</t>
  </si>
  <si>
    <t>Хасенова  60785</t>
  </si>
  <si>
    <t>teploservis-aksu@mail.ru</t>
  </si>
  <si>
    <t>2.3.</t>
  </si>
  <si>
    <t>ОСМС</t>
  </si>
  <si>
    <t>Шегенов Д.К</t>
  </si>
  <si>
    <t>Отчетный период 2 полугодие 2021 года</t>
  </si>
  <si>
    <t>Предусмотрено в  тарифной смете (Приказ 71-ОД от 31.08.2021г</t>
  </si>
  <si>
    <t xml:space="preserve">Предусмотрено в  тарифной смете (Приказ 104-ОД от 14.12.2020г) </t>
  </si>
  <si>
    <t>Итого</t>
  </si>
  <si>
    <t>Недополученный доход за 2020г</t>
  </si>
  <si>
    <t>825,76/1063,22</t>
  </si>
  <si>
    <t>Снижение тарифа на тепловую энергию с 01.01.2021г, утверждение нового тарифа с 01.10.2021г</t>
  </si>
  <si>
    <t>сравнение данных за полугодие к  затратам за полугодие</t>
  </si>
  <si>
    <t>сравнение данных за 4 квартал 2021г к  затратам за полугодие</t>
  </si>
  <si>
    <t>снижение тарифа на тепловую энергию на 2% по сравнению фактическими тарифами 2020года</t>
  </si>
  <si>
    <t xml:space="preserve">снижение нормативно-технических потерь с 01.10.2021г  </t>
  </si>
  <si>
    <t>Дата "29" декабря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</si>
</sst>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49" fontId="10" fillId="0" borderId="18" xfId="0" applyNumberFormat="1" applyFont="1" applyFill="1" applyBorder="1"/>
    <xf numFmtId="0" fontId="10" fillId="0" borderId="10" xfId="0" applyFont="1" applyFill="1" applyBorder="1" applyAlignment="1">
      <alignment wrapText="1"/>
    </xf>
    <xf numFmtId="164" fontId="10" fillId="0" borderId="11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1" fontId="10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/>
    <xf numFmtId="164" fontId="9" fillId="0" borderId="11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center"/>
    </xf>
    <xf numFmtId="49" fontId="9" fillId="0" borderId="18" xfId="0" applyNumberFormat="1" applyFont="1" applyFill="1" applyBorder="1"/>
    <xf numFmtId="1" fontId="9" fillId="0" borderId="10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164" fontId="9" fillId="0" borderId="14" xfId="0" applyNumberFormat="1" applyFont="1" applyFill="1" applyBorder="1" applyAlignment="1">
      <alignment horizontal="left"/>
    </xf>
    <xf numFmtId="164" fontId="13" fillId="0" borderId="10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4" fillId="0" borderId="0" xfId="1" applyFont="1" applyFill="1" applyAlignment="1" applyProtection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/>
    </xf>
    <xf numFmtId="0" fontId="9" fillId="0" borderId="4" xfId="0" applyFont="1" applyFill="1" applyBorder="1"/>
    <xf numFmtId="0" fontId="10" fillId="0" borderId="5" xfId="0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9" fillId="0" borderId="7" xfId="0" applyFont="1" applyFill="1" applyBorder="1"/>
    <xf numFmtId="0" fontId="9" fillId="0" borderId="8" xfId="0" applyFont="1" applyFill="1" applyBorder="1" applyAlignment="1">
      <alignment wrapText="1"/>
    </xf>
    <xf numFmtId="164" fontId="10" fillId="0" borderId="9" xfId="0" applyNumberFormat="1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0" fontId="9" fillId="0" borderId="8" xfId="0" applyFont="1" applyFill="1" applyBorder="1"/>
    <xf numFmtId="0" fontId="10" fillId="0" borderId="9" xfId="0" applyFont="1" applyFill="1" applyBorder="1" applyAlignment="1">
      <alignment horizontal="center"/>
    </xf>
    <xf numFmtId="16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" fontId="9" fillId="0" borderId="12" xfId="0" applyNumberFormat="1" applyFont="1" applyFill="1" applyBorder="1" applyAlignment="1">
      <alignment horizontal="left"/>
    </xf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2" fontId="9" fillId="0" borderId="11" xfId="0" applyNumberFormat="1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8" xfId="0" applyFont="1" applyFill="1" applyBorder="1"/>
    <xf numFmtId="3" fontId="9" fillId="0" borderId="11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/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left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49" fontId="6" fillId="0" borderId="0" xfId="0" applyNumberFormat="1" applyFont="1" applyFill="1"/>
    <xf numFmtId="0" fontId="17" fillId="0" borderId="0" xfId="0" applyFont="1" applyFill="1"/>
    <xf numFmtId="3" fontId="10" fillId="0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165" fontId="9" fillId="2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1" fontId="10" fillId="2" borderId="10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0" borderId="0" xfId="1" applyFill="1" applyAlignment="1" applyProtection="1">
      <alignment horizontal="center"/>
    </xf>
    <xf numFmtId="0" fontId="16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loservis-aksu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73" workbookViewId="0">
      <selection activeCell="J21" sqref="J21"/>
    </sheetView>
  </sheetViews>
  <sheetFormatPr defaultRowHeight="15" x14ac:dyDescent="0.25"/>
  <cols>
    <col min="1" max="1" width="5.140625" style="31" customWidth="1"/>
    <col min="2" max="2" width="31.140625" style="31" customWidth="1"/>
    <col min="3" max="3" width="9.140625" style="31"/>
    <col min="4" max="5" width="12.5703125" style="31" customWidth="1"/>
    <col min="6" max="6" width="11.7109375" style="31" customWidth="1"/>
    <col min="7" max="7" width="11.42578125" style="31" customWidth="1"/>
    <col min="8" max="8" width="9.140625" style="31"/>
    <col min="9" max="9" width="26" style="31" customWidth="1"/>
    <col min="10" max="10" width="10" style="31" bestFit="1" customWidth="1"/>
    <col min="11" max="16384" width="9.140625" style="31"/>
  </cols>
  <sheetData>
    <row r="1" spans="1:9" ht="13.5" customHeight="1" x14ac:dyDescent="0.25">
      <c r="A1" s="28"/>
      <c r="B1" s="29"/>
      <c r="C1" s="30"/>
      <c r="D1" s="30"/>
      <c r="E1" s="127" t="s">
        <v>106</v>
      </c>
      <c r="F1" s="127"/>
      <c r="G1" s="127"/>
    </row>
    <row r="2" spans="1:9" ht="17.25" customHeight="1" x14ac:dyDescent="0.25">
      <c r="A2" s="32"/>
      <c r="B2" s="29"/>
      <c r="C2" s="30"/>
      <c r="D2" s="30"/>
      <c r="E2" s="128" t="s">
        <v>107</v>
      </c>
      <c r="F2" s="128"/>
      <c r="G2" s="128"/>
    </row>
    <row r="3" spans="1:9" ht="16.5" customHeight="1" x14ac:dyDescent="0.25">
      <c r="A3" s="28"/>
      <c r="B3" s="129" t="s">
        <v>108</v>
      </c>
      <c r="C3" s="129"/>
      <c r="D3" s="129"/>
      <c r="E3" s="129"/>
      <c r="F3" s="129"/>
    </row>
    <row r="4" spans="1:9" ht="32.25" customHeight="1" x14ac:dyDescent="0.25">
      <c r="A4" s="28"/>
      <c r="B4" s="130" t="s">
        <v>123</v>
      </c>
      <c r="C4" s="130"/>
      <c r="D4" s="130"/>
      <c r="E4" s="130"/>
      <c r="F4" s="130"/>
      <c r="G4" s="130"/>
    </row>
    <row r="5" spans="1:9" ht="12.75" customHeight="1" x14ac:dyDescent="0.25">
      <c r="A5" s="33"/>
      <c r="B5" s="129" t="s">
        <v>131</v>
      </c>
      <c r="C5" s="129"/>
      <c r="D5" s="129"/>
      <c r="E5" s="129"/>
      <c r="F5" s="129"/>
    </row>
    <row r="6" spans="1:9" ht="12" customHeight="1" x14ac:dyDescent="0.25">
      <c r="A6" s="33"/>
      <c r="B6" s="34" t="s">
        <v>109</v>
      </c>
      <c r="C6" s="35"/>
      <c r="D6" s="35"/>
      <c r="E6" s="35"/>
      <c r="F6" s="35"/>
    </row>
    <row r="7" spans="1:9" ht="12.75" customHeight="1" x14ac:dyDescent="0.25">
      <c r="A7" s="33"/>
      <c r="B7" s="34" t="s">
        <v>110</v>
      </c>
      <c r="C7" s="35"/>
      <c r="D7" s="35"/>
      <c r="E7" s="35"/>
      <c r="F7" s="35"/>
    </row>
    <row r="8" spans="1:9" ht="21.75" customHeight="1" x14ac:dyDescent="0.25">
      <c r="A8" s="33"/>
      <c r="B8" s="126" t="s">
        <v>111</v>
      </c>
      <c r="C8" s="126"/>
      <c r="D8" s="126"/>
      <c r="E8" s="126"/>
      <c r="F8" s="126"/>
    </row>
    <row r="9" spans="1:9" ht="26.25" customHeight="1" thickBot="1" x14ac:dyDescent="0.3">
      <c r="A9" s="33"/>
      <c r="B9" s="126" t="s">
        <v>112</v>
      </c>
      <c r="C9" s="126"/>
      <c r="D9" s="126"/>
      <c r="E9" s="126"/>
      <c r="F9" s="126"/>
    </row>
    <row r="10" spans="1:9" ht="15.75" customHeight="1" x14ac:dyDescent="0.25">
      <c r="A10" s="118" t="s">
        <v>0</v>
      </c>
      <c r="B10" s="118" t="s">
        <v>1</v>
      </c>
      <c r="C10" s="118" t="s">
        <v>2</v>
      </c>
      <c r="D10" s="118" t="s">
        <v>133</v>
      </c>
      <c r="E10" s="118" t="s">
        <v>132</v>
      </c>
      <c r="F10" s="118" t="s">
        <v>134</v>
      </c>
      <c r="G10" s="118" t="s">
        <v>103</v>
      </c>
      <c r="H10" s="120" t="s">
        <v>104</v>
      </c>
      <c r="I10" s="122" t="s">
        <v>105</v>
      </c>
    </row>
    <row r="11" spans="1:9" ht="65.25" customHeight="1" thickBot="1" x14ac:dyDescent="0.3">
      <c r="A11" s="119"/>
      <c r="B11" s="119"/>
      <c r="C11" s="119"/>
      <c r="D11" s="119"/>
      <c r="E11" s="119"/>
      <c r="F11" s="119"/>
      <c r="G11" s="119"/>
      <c r="H11" s="121"/>
      <c r="I11" s="123"/>
    </row>
    <row r="12" spans="1:9" ht="15.75" thickBot="1" x14ac:dyDescent="0.3">
      <c r="A12" s="36">
        <v>1</v>
      </c>
      <c r="B12" s="37">
        <v>2</v>
      </c>
      <c r="C12" s="37">
        <v>3</v>
      </c>
      <c r="D12" s="37">
        <v>4</v>
      </c>
      <c r="E12" s="37">
        <v>5</v>
      </c>
      <c r="F12" s="37">
        <v>4</v>
      </c>
      <c r="G12" s="37">
        <v>6</v>
      </c>
      <c r="H12" s="38">
        <v>7</v>
      </c>
      <c r="I12" s="38">
        <v>8</v>
      </c>
    </row>
    <row r="13" spans="1:9" ht="33" customHeight="1" x14ac:dyDescent="0.25">
      <c r="A13" s="39" t="s">
        <v>3</v>
      </c>
      <c r="B13" s="40" t="s">
        <v>4</v>
      </c>
      <c r="C13" s="41" t="s">
        <v>5</v>
      </c>
      <c r="D13" s="42">
        <f>D15+D22+D29+D30+D33+D34</f>
        <v>69024.5</v>
      </c>
      <c r="E13" s="42">
        <f>E15+E22+E29+E30+E33+E34</f>
        <v>97019.5</v>
      </c>
      <c r="F13" s="42">
        <f>F15+F22+F29+F30+F33+F34</f>
        <v>166044</v>
      </c>
      <c r="G13" s="42">
        <f>G15+G22+G29+G30+G33+G34</f>
        <v>164164</v>
      </c>
      <c r="H13" s="43">
        <f>(G13/F13*100)-100</f>
        <v>-1.1322300113222923</v>
      </c>
      <c r="I13" s="27" t="s">
        <v>138</v>
      </c>
    </row>
    <row r="14" spans="1:9" ht="12.75" customHeight="1" x14ac:dyDescent="0.25">
      <c r="A14" s="44"/>
      <c r="B14" s="45" t="s">
        <v>6</v>
      </c>
      <c r="C14" s="46"/>
      <c r="D14" s="47"/>
      <c r="E14" s="48"/>
      <c r="F14" s="47"/>
      <c r="G14" s="48"/>
      <c r="H14" s="26"/>
      <c r="I14" s="27"/>
    </row>
    <row r="15" spans="1:9" ht="40.5" customHeight="1" x14ac:dyDescent="0.25">
      <c r="A15" s="49">
        <v>1</v>
      </c>
      <c r="B15" s="50" t="s">
        <v>7</v>
      </c>
      <c r="C15" s="3" t="s">
        <v>5</v>
      </c>
      <c r="D15" s="51">
        <f>D17+D18+D19</f>
        <v>32639</v>
      </c>
      <c r="E15" s="47">
        <f>E17+E18+E19</f>
        <v>36832.75</v>
      </c>
      <c r="F15" s="47">
        <f>F17+F18+F19</f>
        <v>69471.75</v>
      </c>
      <c r="G15" s="51">
        <f>G17+G18+G19</f>
        <v>66736</v>
      </c>
      <c r="H15" s="26">
        <f>(G15/F15*100)-100</f>
        <v>-3.9379316052928033</v>
      </c>
      <c r="I15" s="27" t="s">
        <v>138</v>
      </c>
    </row>
    <row r="16" spans="1:9" x14ac:dyDescent="0.25">
      <c r="A16" s="49"/>
      <c r="B16" s="52" t="s">
        <v>6</v>
      </c>
      <c r="C16" s="3"/>
      <c r="D16" s="51"/>
      <c r="E16" s="53"/>
      <c r="F16" s="51"/>
      <c r="G16" s="53"/>
      <c r="H16" s="26"/>
      <c r="I16" s="27"/>
    </row>
    <row r="17" spans="1:10" ht="39" customHeight="1" x14ac:dyDescent="0.25">
      <c r="A17" s="54" t="s">
        <v>8</v>
      </c>
      <c r="B17" s="52" t="s">
        <v>9</v>
      </c>
      <c r="C17" s="13" t="s">
        <v>5</v>
      </c>
      <c r="D17" s="104">
        <f>14985/12*3</f>
        <v>3746.25</v>
      </c>
      <c r="E17" s="11">
        <f>16536/12*3</f>
        <v>4134</v>
      </c>
      <c r="F17" s="104">
        <f>(D17+E17)</f>
        <v>7880.25</v>
      </c>
      <c r="G17" s="11">
        <v>7934</v>
      </c>
      <c r="H17" s="56">
        <f>(G17/F17*100)-100</f>
        <v>0.68208495923352075</v>
      </c>
      <c r="I17" s="27" t="s">
        <v>138</v>
      </c>
    </row>
    <row r="18" spans="1:10" ht="27.75" customHeight="1" x14ac:dyDescent="0.25">
      <c r="A18" s="57" t="s">
        <v>10</v>
      </c>
      <c r="B18" s="58" t="s">
        <v>11</v>
      </c>
      <c r="C18" s="13" t="s">
        <v>5</v>
      </c>
      <c r="D18" s="55">
        <f>5672/12*3</f>
        <v>1418</v>
      </c>
      <c r="E18" s="14">
        <f>5519/12*3</f>
        <v>1379.75</v>
      </c>
      <c r="F18" s="104">
        <f t="shared" ref="F18:F19" si="0">(D18+E18)</f>
        <v>2797.75</v>
      </c>
      <c r="G18" s="11">
        <v>2904</v>
      </c>
      <c r="H18" s="103">
        <f t="shared" ref="H18:H19" si="1">(G18/F18*100)-100</f>
        <v>3.7976945759985625</v>
      </c>
      <c r="I18" s="27" t="s">
        <v>138</v>
      </c>
    </row>
    <row r="19" spans="1:10" ht="22.5" x14ac:dyDescent="0.25">
      <c r="A19" s="58" t="s">
        <v>12</v>
      </c>
      <c r="B19" s="59" t="s">
        <v>13</v>
      </c>
      <c r="C19" s="25" t="s">
        <v>5</v>
      </c>
      <c r="D19" s="104">
        <f>109899/12*3</f>
        <v>27474.75</v>
      </c>
      <c r="E19" s="11">
        <f>125276/12*3</f>
        <v>31319</v>
      </c>
      <c r="F19" s="104">
        <f t="shared" si="0"/>
        <v>58793.75</v>
      </c>
      <c r="G19" s="97">
        <v>55898</v>
      </c>
      <c r="H19" s="103">
        <f t="shared" si="1"/>
        <v>-4.9252684171361807</v>
      </c>
      <c r="I19" s="27" t="s">
        <v>138</v>
      </c>
    </row>
    <row r="20" spans="1:10" x14ac:dyDescent="0.25">
      <c r="A20" s="60"/>
      <c r="B20" s="61"/>
      <c r="C20" s="25" t="s">
        <v>14</v>
      </c>
      <c r="D20" s="55">
        <v>18.2</v>
      </c>
      <c r="E20" s="62">
        <v>16.32</v>
      </c>
      <c r="F20" s="104"/>
      <c r="G20" s="62">
        <v>16.32</v>
      </c>
      <c r="H20" s="103"/>
      <c r="I20" s="27"/>
    </row>
    <row r="21" spans="1:10" ht="22.5" x14ac:dyDescent="0.25">
      <c r="A21" s="52"/>
      <c r="B21" s="63"/>
      <c r="C21" s="25" t="s">
        <v>15</v>
      </c>
      <c r="D21" s="10">
        <f>68.224/12*3</f>
        <v>17.056000000000001</v>
      </c>
      <c r="E21" s="109">
        <v>15.895</v>
      </c>
      <c r="F21" s="105">
        <f>D21+E21</f>
        <v>32.951000000000001</v>
      </c>
      <c r="G21" s="106"/>
      <c r="H21" s="103"/>
      <c r="I21" s="27" t="s">
        <v>138</v>
      </c>
    </row>
    <row r="22" spans="1:10" ht="21.75" customHeight="1" x14ac:dyDescent="0.25">
      <c r="A22" s="49">
        <v>2</v>
      </c>
      <c r="B22" s="50" t="s">
        <v>16</v>
      </c>
      <c r="C22" s="3" t="s">
        <v>5</v>
      </c>
      <c r="D22" s="21">
        <f>D24+D27</f>
        <v>29487.25</v>
      </c>
      <c r="E22" s="21">
        <f>E24+E27+E28</f>
        <v>47672</v>
      </c>
      <c r="F22" s="21">
        <f>D22+E22</f>
        <v>77159.25</v>
      </c>
      <c r="G22" s="21">
        <f>G24+G27+G28</f>
        <v>74234</v>
      </c>
      <c r="H22" s="103">
        <f>(G22/F22*100)-100</f>
        <v>-3.7911851139040351</v>
      </c>
      <c r="I22" s="27" t="s">
        <v>138</v>
      </c>
    </row>
    <row r="23" spans="1:10" ht="13.5" customHeight="1" x14ac:dyDescent="0.25">
      <c r="A23" s="49"/>
      <c r="B23" s="52" t="s">
        <v>6</v>
      </c>
      <c r="C23" s="3"/>
      <c r="D23" s="21"/>
      <c r="E23" s="6"/>
      <c r="F23" s="21"/>
      <c r="G23" s="6"/>
      <c r="H23" s="103"/>
      <c r="I23" s="27"/>
    </row>
    <row r="24" spans="1:10" ht="31.5" customHeight="1" x14ac:dyDescent="0.25">
      <c r="A24" s="64" t="s">
        <v>17</v>
      </c>
      <c r="B24" s="12" t="s">
        <v>18</v>
      </c>
      <c r="C24" s="3" t="s">
        <v>5</v>
      </c>
      <c r="D24" s="96">
        <f>107324/12*3</f>
        <v>26831</v>
      </c>
      <c r="E24" s="110">
        <f>172787/12*3</f>
        <v>43196.75</v>
      </c>
      <c r="F24" s="96">
        <f>D24+E24</f>
        <v>70027.75</v>
      </c>
      <c r="G24" s="65">
        <v>67094</v>
      </c>
      <c r="H24" s="103">
        <f>(G24/F24*100)-100</f>
        <v>-4.1894106265016262</v>
      </c>
      <c r="I24" s="27" t="s">
        <v>138</v>
      </c>
      <c r="J24" s="115"/>
    </row>
    <row r="25" spans="1:10" x14ac:dyDescent="0.25">
      <c r="A25" s="15" t="s">
        <v>19</v>
      </c>
      <c r="B25" s="18" t="s">
        <v>20</v>
      </c>
      <c r="C25" s="7" t="s">
        <v>21</v>
      </c>
      <c r="D25" s="19">
        <v>70981</v>
      </c>
      <c r="E25" s="98"/>
      <c r="F25" s="96"/>
      <c r="G25" s="98"/>
      <c r="H25" s="103"/>
      <c r="I25" s="27"/>
      <c r="J25" s="115"/>
    </row>
    <row r="26" spans="1:10" ht="15.75" customHeight="1" x14ac:dyDescent="0.25">
      <c r="A26" s="15" t="s">
        <v>22</v>
      </c>
      <c r="B26" s="12" t="s">
        <v>23</v>
      </c>
      <c r="C26" s="13" t="s">
        <v>24</v>
      </c>
      <c r="D26" s="10">
        <v>126</v>
      </c>
      <c r="E26" s="97"/>
      <c r="F26" s="96"/>
      <c r="G26" s="97"/>
      <c r="H26" s="103"/>
      <c r="I26" s="27"/>
      <c r="J26" s="115"/>
    </row>
    <row r="27" spans="1:10" ht="20.25" customHeight="1" x14ac:dyDescent="0.25">
      <c r="A27" s="64" t="s">
        <v>25</v>
      </c>
      <c r="B27" s="12" t="s">
        <v>26</v>
      </c>
      <c r="C27" s="13" t="s">
        <v>5</v>
      </c>
      <c r="D27" s="16">
        <f>10625/12*3</f>
        <v>2656.25</v>
      </c>
      <c r="E27" s="14">
        <f>14445/12*3</f>
        <v>3611.25</v>
      </c>
      <c r="F27" s="96">
        <f>D27+E27</f>
        <v>6267.5</v>
      </c>
      <c r="G27" s="97">
        <v>5991</v>
      </c>
      <c r="H27" s="103">
        <f t="shared" ref="H27:H72" si="2">(G27/F27*100)-100</f>
        <v>-4.4116473873155257</v>
      </c>
      <c r="I27" s="27" t="s">
        <v>138</v>
      </c>
      <c r="J27" s="115"/>
    </row>
    <row r="28" spans="1:10" ht="20.25" customHeight="1" x14ac:dyDescent="0.25">
      <c r="A28" s="64" t="s">
        <v>128</v>
      </c>
      <c r="B28" s="12" t="s">
        <v>129</v>
      </c>
      <c r="C28" s="13" t="s">
        <v>5</v>
      </c>
      <c r="D28" s="16"/>
      <c r="E28" s="11">
        <f>3456/12*3</f>
        <v>864</v>
      </c>
      <c r="F28" s="96"/>
      <c r="G28" s="97">
        <v>1149</v>
      </c>
      <c r="H28" s="103"/>
      <c r="I28" s="27" t="s">
        <v>124</v>
      </c>
    </row>
    <row r="29" spans="1:10" ht="24" customHeight="1" x14ac:dyDescent="0.25">
      <c r="A29" s="66">
        <v>3</v>
      </c>
      <c r="B29" s="5" t="s">
        <v>27</v>
      </c>
      <c r="C29" s="3" t="s">
        <v>5</v>
      </c>
      <c r="D29" s="4"/>
      <c r="E29" s="6">
        <f>22977/12*3</f>
        <v>5744.25</v>
      </c>
      <c r="F29" s="21">
        <f>D29+E29</f>
        <v>5744.25</v>
      </c>
      <c r="G29" s="67">
        <v>6032</v>
      </c>
      <c r="H29" s="103">
        <f t="shared" si="2"/>
        <v>5.0093571832702253</v>
      </c>
      <c r="I29" s="27" t="s">
        <v>139</v>
      </c>
    </row>
    <row r="30" spans="1:10" ht="21.75" customHeight="1" x14ac:dyDescent="0.25">
      <c r="A30" s="66">
        <v>4</v>
      </c>
      <c r="B30" s="5" t="s">
        <v>28</v>
      </c>
      <c r="C30" s="3" t="s">
        <v>5</v>
      </c>
      <c r="D30" s="21">
        <f>D32</f>
        <v>4776.5</v>
      </c>
      <c r="E30" s="21">
        <f>E32</f>
        <v>4613.25</v>
      </c>
      <c r="F30" s="21">
        <f>D30+E30</f>
        <v>9389.75</v>
      </c>
      <c r="G30" s="4">
        <v>12995</v>
      </c>
      <c r="H30" s="103">
        <f t="shared" si="2"/>
        <v>38.395590936925913</v>
      </c>
      <c r="I30" s="27" t="s">
        <v>138</v>
      </c>
    </row>
    <row r="31" spans="1:10" ht="12.75" customHeight="1" x14ac:dyDescent="0.25">
      <c r="A31" s="66"/>
      <c r="B31" s="12" t="s">
        <v>6</v>
      </c>
      <c r="C31" s="3"/>
      <c r="D31" s="4"/>
      <c r="E31" s="67"/>
      <c r="F31" s="4"/>
      <c r="G31" s="67"/>
      <c r="H31" s="103"/>
      <c r="I31" s="27"/>
    </row>
    <row r="32" spans="1:10" ht="27" customHeight="1" x14ac:dyDescent="0.25">
      <c r="A32" s="15" t="s">
        <v>29</v>
      </c>
      <c r="B32" s="68" t="s">
        <v>125</v>
      </c>
      <c r="C32" s="13" t="s">
        <v>5</v>
      </c>
      <c r="D32" s="16">
        <f>19106/12*3</f>
        <v>4776.5</v>
      </c>
      <c r="E32" s="14">
        <f>18453/12*3</f>
        <v>4613.25</v>
      </c>
      <c r="F32" s="16">
        <f>D32+E32</f>
        <v>9389.75</v>
      </c>
      <c r="G32" s="11">
        <v>12995</v>
      </c>
      <c r="H32" s="103">
        <f t="shared" si="2"/>
        <v>38.395590936925913</v>
      </c>
      <c r="I32" s="27" t="s">
        <v>138</v>
      </c>
    </row>
    <row r="33" spans="1:9" ht="20.25" customHeight="1" x14ac:dyDescent="0.25">
      <c r="A33" s="1" t="s">
        <v>30</v>
      </c>
      <c r="B33" s="2" t="s">
        <v>31</v>
      </c>
      <c r="C33" s="3" t="s">
        <v>5</v>
      </c>
      <c r="D33" s="4">
        <f>2780/12*3</f>
        <v>695</v>
      </c>
      <c r="E33" s="107">
        <f>2510/12*3</f>
        <v>627.5</v>
      </c>
      <c r="F33" s="16">
        <f>D33+E33</f>
        <v>1322.5</v>
      </c>
      <c r="G33" s="99">
        <v>1290</v>
      </c>
      <c r="H33" s="103">
        <f t="shared" si="2"/>
        <v>-2.4574669187145588</v>
      </c>
      <c r="I33" s="27" t="s">
        <v>138</v>
      </c>
    </row>
    <row r="34" spans="1:9" ht="20.25" customHeight="1" x14ac:dyDescent="0.25">
      <c r="A34" s="69" t="s">
        <v>32</v>
      </c>
      <c r="B34" s="5" t="s">
        <v>33</v>
      </c>
      <c r="C34" s="3" t="s">
        <v>5</v>
      </c>
      <c r="D34" s="21">
        <f>D36+D37+D38+D39</f>
        <v>1426.75</v>
      </c>
      <c r="E34" s="21">
        <f>E36+E37+E38+E39</f>
        <v>1529.75</v>
      </c>
      <c r="F34" s="21">
        <f>F36+F37+F38+F39</f>
        <v>2956.5</v>
      </c>
      <c r="G34" s="111">
        <f>G36+G37+G38+G39</f>
        <v>2877</v>
      </c>
      <c r="H34" s="103">
        <f t="shared" si="2"/>
        <v>-2.6889903602232437</v>
      </c>
      <c r="I34" s="27" t="s">
        <v>138</v>
      </c>
    </row>
    <row r="35" spans="1:9" ht="22.5" customHeight="1" x14ac:dyDescent="0.25">
      <c r="A35" s="69"/>
      <c r="B35" s="45" t="s">
        <v>6</v>
      </c>
      <c r="C35" s="13"/>
      <c r="D35" s="55"/>
      <c r="E35" s="70"/>
      <c r="F35" s="55"/>
      <c r="G35" s="112"/>
      <c r="H35" s="103"/>
      <c r="I35" s="27"/>
    </row>
    <row r="36" spans="1:9" ht="21.75" customHeight="1" x14ac:dyDescent="0.25">
      <c r="A36" s="69" t="s">
        <v>34</v>
      </c>
      <c r="B36" s="71" t="s">
        <v>35</v>
      </c>
      <c r="C36" s="7" t="s">
        <v>5</v>
      </c>
      <c r="D36" s="19">
        <f>1177/12*3</f>
        <v>294.25</v>
      </c>
      <c r="E36" s="9">
        <f>1791/12*3</f>
        <v>447.75</v>
      </c>
      <c r="F36" s="19">
        <f>D36+E36</f>
        <v>742</v>
      </c>
      <c r="G36" s="98">
        <v>709</v>
      </c>
      <c r="H36" s="103">
        <f t="shared" si="2"/>
        <v>-4.4474393530997389</v>
      </c>
      <c r="I36" s="27" t="s">
        <v>138</v>
      </c>
    </row>
    <row r="37" spans="1:9" ht="19.5" customHeight="1" x14ac:dyDescent="0.25">
      <c r="A37" s="69" t="s">
        <v>36</v>
      </c>
      <c r="B37" s="52" t="s">
        <v>37</v>
      </c>
      <c r="C37" s="13" t="s">
        <v>38</v>
      </c>
      <c r="D37" s="16">
        <f>2681/12*3</f>
        <v>670.25</v>
      </c>
      <c r="E37" s="14">
        <f>2681/12*3</f>
        <v>670.25</v>
      </c>
      <c r="F37" s="19">
        <f t="shared" ref="F37:F39" si="3">D37+E37</f>
        <v>1340.5</v>
      </c>
      <c r="G37" s="97">
        <v>1293</v>
      </c>
      <c r="H37" s="103">
        <f t="shared" si="2"/>
        <v>-3.5434539350988388</v>
      </c>
      <c r="I37" s="27" t="s">
        <v>138</v>
      </c>
    </row>
    <row r="38" spans="1:9" ht="19.5" customHeight="1" x14ac:dyDescent="0.25">
      <c r="A38" s="69" t="s">
        <v>39</v>
      </c>
      <c r="B38" s="12" t="s">
        <v>40</v>
      </c>
      <c r="C38" s="13" t="s">
        <v>5</v>
      </c>
      <c r="D38" s="16">
        <f>718/12*3</f>
        <v>179.5</v>
      </c>
      <c r="E38" s="11">
        <f>516/12*3</f>
        <v>129</v>
      </c>
      <c r="F38" s="19">
        <f t="shared" si="3"/>
        <v>308.5</v>
      </c>
      <c r="G38" s="97">
        <v>317</v>
      </c>
      <c r="H38" s="103">
        <f t="shared" si="2"/>
        <v>2.755267423014601</v>
      </c>
      <c r="I38" s="27" t="s">
        <v>138</v>
      </c>
    </row>
    <row r="39" spans="1:9" ht="20.25" customHeight="1" x14ac:dyDescent="0.25">
      <c r="A39" s="69" t="s">
        <v>41</v>
      </c>
      <c r="B39" s="12" t="s">
        <v>42</v>
      </c>
      <c r="C39" s="13" t="s">
        <v>5</v>
      </c>
      <c r="D39" s="14">
        <f>1131/12*3</f>
        <v>282.75</v>
      </c>
      <c r="E39" s="14">
        <f>1131/12*3</f>
        <v>282.75</v>
      </c>
      <c r="F39" s="19">
        <f t="shared" si="3"/>
        <v>565.5</v>
      </c>
      <c r="G39" s="11">
        <v>558</v>
      </c>
      <c r="H39" s="103">
        <f t="shared" si="2"/>
        <v>-1.3262599469496053</v>
      </c>
      <c r="I39" s="27" t="s">
        <v>138</v>
      </c>
    </row>
    <row r="40" spans="1:9" ht="22.5" customHeight="1" x14ac:dyDescent="0.25">
      <c r="A40" s="1" t="s">
        <v>43</v>
      </c>
      <c r="B40" s="5" t="s">
        <v>44</v>
      </c>
      <c r="C40" s="3" t="s">
        <v>5</v>
      </c>
      <c r="D40" s="6">
        <f>D41</f>
        <v>6276</v>
      </c>
      <c r="E40" s="6">
        <f>E41</f>
        <v>6609.75</v>
      </c>
      <c r="F40" s="6">
        <f>D40+E40</f>
        <v>12885.75</v>
      </c>
      <c r="G40" s="6">
        <f>G41</f>
        <v>17138</v>
      </c>
      <c r="H40" s="103">
        <f t="shared" si="2"/>
        <v>32.999631375744542</v>
      </c>
      <c r="I40" s="27" t="s">
        <v>138</v>
      </c>
    </row>
    <row r="41" spans="1:9" ht="20.25" customHeight="1" x14ac:dyDescent="0.25">
      <c r="A41" s="1" t="s">
        <v>45</v>
      </c>
      <c r="B41" s="12" t="s">
        <v>46</v>
      </c>
      <c r="C41" s="13" t="s">
        <v>38</v>
      </c>
      <c r="D41" s="14">
        <f>D43+D46+D48+D54+D55+D56+D57+D58+D59+D60+D61</f>
        <v>6276</v>
      </c>
      <c r="E41" s="14">
        <f>E43+E46+E47+E48+E54+E55+E56+E57+E58+E59+E60+E61</f>
        <v>6609.75</v>
      </c>
      <c r="F41" s="14">
        <f>D41+E41</f>
        <v>12885.75</v>
      </c>
      <c r="G41" s="14">
        <f>G43+G46+G47+G48+G54+G55+G56+G57+G58+G59+G60+G61</f>
        <v>17138</v>
      </c>
      <c r="H41" s="103">
        <f t="shared" si="2"/>
        <v>32.999631375744542</v>
      </c>
      <c r="I41" s="27" t="s">
        <v>138</v>
      </c>
    </row>
    <row r="42" spans="1:9" ht="12" customHeight="1" x14ac:dyDescent="0.25">
      <c r="A42" s="1"/>
      <c r="B42" s="12" t="s">
        <v>6</v>
      </c>
      <c r="C42" s="13"/>
      <c r="D42" s="14"/>
      <c r="E42" s="14"/>
      <c r="F42" s="14"/>
      <c r="G42" s="14"/>
      <c r="H42" s="103"/>
      <c r="I42" s="27"/>
    </row>
    <row r="43" spans="1:9" ht="19.5" customHeight="1" x14ac:dyDescent="0.25">
      <c r="A43" s="15" t="s">
        <v>47</v>
      </c>
      <c r="B43" s="12" t="s">
        <v>48</v>
      </c>
      <c r="C43" s="13" t="s">
        <v>5</v>
      </c>
      <c r="D43" s="21">
        <f>17123/12*3</f>
        <v>4280.75</v>
      </c>
      <c r="E43" s="6">
        <f>12861/12*3</f>
        <v>3215.25</v>
      </c>
      <c r="F43" s="21">
        <f>D43+E43</f>
        <v>7496</v>
      </c>
      <c r="G43" s="6">
        <v>8192</v>
      </c>
      <c r="H43" s="103">
        <f t="shared" si="2"/>
        <v>9.2849519743863453</v>
      </c>
      <c r="I43" s="27" t="s">
        <v>138</v>
      </c>
    </row>
    <row r="44" spans="1:9" ht="13.5" customHeight="1" x14ac:dyDescent="0.25">
      <c r="A44" s="17" t="s">
        <v>49</v>
      </c>
      <c r="B44" s="18" t="s">
        <v>20</v>
      </c>
      <c r="C44" s="7" t="s">
        <v>21</v>
      </c>
      <c r="D44" s="19">
        <f>79283/12*3</f>
        <v>19820.75</v>
      </c>
      <c r="E44" s="9"/>
      <c r="F44" s="19"/>
      <c r="G44" s="9"/>
      <c r="H44" s="103"/>
      <c r="I44" s="27"/>
    </row>
    <row r="45" spans="1:9" ht="12.75" customHeight="1" x14ac:dyDescent="0.25">
      <c r="A45" s="15" t="s">
        <v>50</v>
      </c>
      <c r="B45" s="12" t="s">
        <v>23</v>
      </c>
      <c r="C45" s="13" t="s">
        <v>24</v>
      </c>
      <c r="D45" s="10">
        <v>18</v>
      </c>
      <c r="E45" s="11"/>
      <c r="F45" s="10"/>
      <c r="G45" s="11"/>
      <c r="H45" s="103"/>
      <c r="I45" s="27"/>
    </row>
    <row r="46" spans="1:9" ht="28.5" customHeight="1" x14ac:dyDescent="0.25">
      <c r="A46" s="15" t="s">
        <v>51</v>
      </c>
      <c r="B46" s="12" t="s">
        <v>26</v>
      </c>
      <c r="C46" s="13" t="s">
        <v>5</v>
      </c>
      <c r="D46" s="16">
        <f>1695/12*3</f>
        <v>423.75</v>
      </c>
      <c r="E46" s="14">
        <f>1075/12*3</f>
        <v>268.75</v>
      </c>
      <c r="F46" s="16">
        <f>D46+E46</f>
        <v>692.5</v>
      </c>
      <c r="G46" s="11">
        <v>707</v>
      </c>
      <c r="H46" s="103">
        <f t="shared" si="2"/>
        <v>2.0938628158844779</v>
      </c>
      <c r="I46" s="27" t="s">
        <v>138</v>
      </c>
    </row>
    <row r="47" spans="1:9" ht="17.25" customHeight="1" x14ac:dyDescent="0.25">
      <c r="A47" s="15" t="s">
        <v>51</v>
      </c>
      <c r="B47" s="12" t="s">
        <v>129</v>
      </c>
      <c r="C47" s="13"/>
      <c r="D47" s="16"/>
      <c r="E47" s="14">
        <f>257/12*3</f>
        <v>64.25</v>
      </c>
      <c r="F47" s="16"/>
      <c r="G47" s="11">
        <v>209</v>
      </c>
      <c r="H47" s="103"/>
      <c r="I47" s="27" t="s">
        <v>138</v>
      </c>
    </row>
    <row r="48" spans="1:9" ht="28.5" customHeight="1" x14ac:dyDescent="0.25">
      <c r="A48" s="15" t="s">
        <v>52</v>
      </c>
      <c r="B48" s="5" t="s">
        <v>53</v>
      </c>
      <c r="C48" s="13" t="s">
        <v>5</v>
      </c>
      <c r="D48" s="21">
        <f>SUM(D49:D53)</f>
        <v>383</v>
      </c>
      <c r="E48" s="21">
        <f>SUM(E49:E53)</f>
        <v>1612.5</v>
      </c>
      <c r="F48" s="21"/>
      <c r="G48" s="21">
        <f>SUM(G49:G53)</f>
        <v>3288</v>
      </c>
      <c r="H48" s="103"/>
      <c r="I48" s="27" t="s">
        <v>138</v>
      </c>
    </row>
    <row r="49" spans="1:9" ht="25.5" customHeight="1" x14ac:dyDescent="0.25">
      <c r="A49" s="15" t="s">
        <v>54</v>
      </c>
      <c r="B49" s="12" t="s">
        <v>55</v>
      </c>
      <c r="C49" s="13" t="s">
        <v>5</v>
      </c>
      <c r="D49" s="16">
        <f>773/12*3</f>
        <v>193.25</v>
      </c>
      <c r="E49" s="14">
        <f>5530/12*3</f>
        <v>1382.5</v>
      </c>
      <c r="F49" s="16">
        <f>D49+E49</f>
        <v>1575.75</v>
      </c>
      <c r="G49" s="11">
        <v>2503</v>
      </c>
      <c r="H49" s="103">
        <f t="shared" si="2"/>
        <v>58.844994447088681</v>
      </c>
      <c r="I49" s="27" t="s">
        <v>138</v>
      </c>
    </row>
    <row r="50" spans="1:9" ht="22.5" customHeight="1" x14ac:dyDescent="0.25">
      <c r="A50" s="15" t="s">
        <v>56</v>
      </c>
      <c r="B50" s="12" t="s">
        <v>57</v>
      </c>
      <c r="C50" s="13" t="s">
        <v>5</v>
      </c>
      <c r="D50" s="16">
        <f>331/12*3</f>
        <v>82.75</v>
      </c>
      <c r="E50" s="108">
        <f>445/12*3</f>
        <v>111.25</v>
      </c>
      <c r="F50" s="16">
        <f t="shared" ref="F50:F60" si="4">D50+E50</f>
        <v>194</v>
      </c>
      <c r="G50" s="97">
        <v>480</v>
      </c>
      <c r="H50" s="103">
        <f t="shared" si="2"/>
        <v>147.42268041237114</v>
      </c>
      <c r="I50" s="27" t="s">
        <v>138</v>
      </c>
    </row>
    <row r="51" spans="1:9" ht="26.25" customHeight="1" x14ac:dyDescent="0.25">
      <c r="A51" s="15" t="s">
        <v>58</v>
      </c>
      <c r="B51" s="12" t="s">
        <v>59</v>
      </c>
      <c r="C51" s="13" t="s">
        <v>5</v>
      </c>
      <c r="D51" s="16">
        <f>207/12*3</f>
        <v>51.75</v>
      </c>
      <c r="E51" s="14">
        <f>205/12*3</f>
        <v>51.25</v>
      </c>
      <c r="F51" s="16">
        <f t="shared" si="4"/>
        <v>103</v>
      </c>
      <c r="G51" s="11">
        <v>102</v>
      </c>
      <c r="H51" s="103">
        <f t="shared" si="2"/>
        <v>-0.97087378640776478</v>
      </c>
      <c r="I51" s="27" t="s">
        <v>138</v>
      </c>
    </row>
    <row r="52" spans="1:9" ht="23.25" customHeight="1" x14ac:dyDescent="0.25">
      <c r="A52" s="15" t="s">
        <v>60</v>
      </c>
      <c r="B52" s="12" t="s">
        <v>61</v>
      </c>
      <c r="C52" s="13" t="s">
        <v>5</v>
      </c>
      <c r="D52" s="16">
        <f>40/12*3</f>
        <v>10</v>
      </c>
      <c r="E52" s="11">
        <f>56/12*3</f>
        <v>14</v>
      </c>
      <c r="F52" s="16">
        <f t="shared" si="4"/>
        <v>24</v>
      </c>
      <c r="G52" s="97">
        <v>58</v>
      </c>
      <c r="H52" s="103">
        <f t="shared" si="2"/>
        <v>141.66666666666666</v>
      </c>
      <c r="I52" s="27" t="s">
        <v>138</v>
      </c>
    </row>
    <row r="53" spans="1:9" ht="23.25" customHeight="1" x14ac:dyDescent="0.25">
      <c r="A53" s="15" t="s">
        <v>62</v>
      </c>
      <c r="B53" s="12" t="s">
        <v>63</v>
      </c>
      <c r="C53" s="13" t="s">
        <v>5</v>
      </c>
      <c r="D53" s="16">
        <f>181/12*3</f>
        <v>45.25</v>
      </c>
      <c r="E53" s="14">
        <f>214/12*3</f>
        <v>53.5</v>
      </c>
      <c r="F53" s="16">
        <f t="shared" si="4"/>
        <v>98.75</v>
      </c>
      <c r="G53" s="11">
        <v>145</v>
      </c>
      <c r="H53" s="103">
        <f t="shared" si="2"/>
        <v>46.835443037974699</v>
      </c>
      <c r="I53" s="27" t="s">
        <v>138</v>
      </c>
    </row>
    <row r="54" spans="1:9" ht="21.75" customHeight="1" x14ac:dyDescent="0.25">
      <c r="A54" s="15" t="s">
        <v>64</v>
      </c>
      <c r="B54" s="12" t="s">
        <v>65</v>
      </c>
      <c r="C54" s="13" t="s">
        <v>5</v>
      </c>
      <c r="D54" s="10"/>
      <c r="E54" s="11">
        <f>648/12*3</f>
        <v>162</v>
      </c>
      <c r="F54" s="16">
        <f t="shared" si="4"/>
        <v>162</v>
      </c>
      <c r="G54" s="11">
        <v>327</v>
      </c>
      <c r="H54" s="103">
        <f t="shared" si="2"/>
        <v>101.85185185185185</v>
      </c>
      <c r="I54" s="27" t="s">
        <v>138</v>
      </c>
    </row>
    <row r="55" spans="1:9" ht="19.5" customHeight="1" x14ac:dyDescent="0.25">
      <c r="A55" s="15" t="s">
        <v>66</v>
      </c>
      <c r="B55" s="12" t="s">
        <v>67</v>
      </c>
      <c r="C55" s="13" t="s">
        <v>5</v>
      </c>
      <c r="D55" s="16">
        <f>110/12*3</f>
        <v>27.5</v>
      </c>
      <c r="E55" s="14">
        <f>477/12*3</f>
        <v>119.25</v>
      </c>
      <c r="F55" s="16">
        <f t="shared" si="4"/>
        <v>146.75</v>
      </c>
      <c r="G55" s="11">
        <v>150</v>
      </c>
      <c r="H55" s="103">
        <f t="shared" si="2"/>
        <v>2.2146507666098785</v>
      </c>
      <c r="I55" s="27" t="s">
        <v>138</v>
      </c>
    </row>
    <row r="56" spans="1:9" ht="20.25" customHeight="1" x14ac:dyDescent="0.25">
      <c r="A56" s="17" t="s">
        <v>68</v>
      </c>
      <c r="B56" s="18" t="s">
        <v>69</v>
      </c>
      <c r="C56" s="7" t="s">
        <v>5</v>
      </c>
      <c r="D56" s="19">
        <f>354/12*3</f>
        <v>88.5</v>
      </c>
      <c r="E56" s="72">
        <f>364/12*3</f>
        <v>91</v>
      </c>
      <c r="F56" s="16">
        <f t="shared" si="4"/>
        <v>179.5</v>
      </c>
      <c r="G56" s="72">
        <v>360</v>
      </c>
      <c r="H56" s="103">
        <f t="shared" si="2"/>
        <v>100.55710306406684</v>
      </c>
      <c r="I56" s="27" t="s">
        <v>138</v>
      </c>
    </row>
    <row r="57" spans="1:9" ht="18.75" customHeight="1" x14ac:dyDescent="0.25">
      <c r="A57" s="17" t="s">
        <v>70</v>
      </c>
      <c r="B57" s="18" t="s">
        <v>71</v>
      </c>
      <c r="C57" s="7" t="s">
        <v>5</v>
      </c>
      <c r="D57" s="8">
        <f>368/12*3</f>
        <v>92</v>
      </c>
      <c r="E57" s="100">
        <f>788/12*3</f>
        <v>197</v>
      </c>
      <c r="F57" s="16">
        <f t="shared" si="4"/>
        <v>289</v>
      </c>
      <c r="G57" s="100">
        <v>489</v>
      </c>
      <c r="H57" s="103">
        <f t="shared" si="2"/>
        <v>69.20415224913495</v>
      </c>
      <c r="I57" s="27" t="s">
        <v>138</v>
      </c>
    </row>
    <row r="58" spans="1:9" s="73" customFormat="1" ht="22.5" x14ac:dyDescent="0.2">
      <c r="A58" s="17" t="s">
        <v>72</v>
      </c>
      <c r="B58" s="18" t="s">
        <v>73</v>
      </c>
      <c r="C58" s="7" t="s">
        <v>5</v>
      </c>
      <c r="D58" s="19">
        <f>458/12*3</f>
        <v>114.5</v>
      </c>
      <c r="E58" s="9">
        <f>458/12*3</f>
        <v>114.5</v>
      </c>
      <c r="F58" s="16">
        <f t="shared" si="4"/>
        <v>229</v>
      </c>
      <c r="G58" s="72">
        <v>295</v>
      </c>
      <c r="H58" s="103">
        <f t="shared" si="2"/>
        <v>28.820960698689959</v>
      </c>
      <c r="I58" s="27" t="s">
        <v>138</v>
      </c>
    </row>
    <row r="59" spans="1:9" ht="24" x14ac:dyDescent="0.25">
      <c r="A59" s="15" t="s">
        <v>74</v>
      </c>
      <c r="B59" s="74" t="s">
        <v>75</v>
      </c>
      <c r="C59" s="7" t="s">
        <v>5</v>
      </c>
      <c r="D59" s="8">
        <f>756/12*3</f>
        <v>189</v>
      </c>
      <c r="E59" s="98">
        <f>477/12*3</f>
        <v>119.25</v>
      </c>
      <c r="F59" s="16">
        <f t="shared" si="4"/>
        <v>308.25</v>
      </c>
      <c r="G59" s="100">
        <v>516</v>
      </c>
      <c r="H59" s="103">
        <f t="shared" si="2"/>
        <v>67.396593673965924</v>
      </c>
      <c r="I59" s="27" t="s">
        <v>138</v>
      </c>
    </row>
    <row r="60" spans="1:9" ht="22.5" customHeight="1" x14ac:dyDescent="0.25">
      <c r="A60" s="15" t="s">
        <v>76</v>
      </c>
      <c r="B60" s="20" t="s">
        <v>77</v>
      </c>
      <c r="C60" s="75" t="s">
        <v>5</v>
      </c>
      <c r="D60" s="19">
        <f>50/12*3</f>
        <v>12.5</v>
      </c>
      <c r="E60" s="100">
        <v>16</v>
      </c>
      <c r="F60" s="16">
        <f t="shared" si="4"/>
        <v>28.5</v>
      </c>
      <c r="G60" s="100">
        <v>28</v>
      </c>
      <c r="H60" s="103">
        <f t="shared" si="2"/>
        <v>-1.7543859649122879</v>
      </c>
      <c r="I60" s="27" t="s">
        <v>138</v>
      </c>
    </row>
    <row r="61" spans="1:9" ht="21" customHeight="1" x14ac:dyDescent="0.25">
      <c r="A61" s="76" t="s">
        <v>78</v>
      </c>
      <c r="B61" s="20" t="s">
        <v>79</v>
      </c>
      <c r="C61" s="75" t="s">
        <v>38</v>
      </c>
      <c r="D61" s="80">
        <f>D62+D63+D64+D65</f>
        <v>664.5</v>
      </c>
      <c r="E61" s="80">
        <f>E62+E63+E64+E65+E66</f>
        <v>630</v>
      </c>
      <c r="F61" s="19"/>
      <c r="G61" s="80">
        <f>G62+G63+G64+G65+G66</f>
        <v>2577</v>
      </c>
      <c r="H61" s="103"/>
      <c r="I61" s="27" t="s">
        <v>138</v>
      </c>
    </row>
    <row r="62" spans="1:9" ht="22.5" customHeight="1" x14ac:dyDescent="0.25">
      <c r="A62" s="15" t="s">
        <v>80</v>
      </c>
      <c r="B62" s="20" t="s">
        <v>81</v>
      </c>
      <c r="C62" s="75" t="s">
        <v>5</v>
      </c>
      <c r="D62" s="19">
        <f>277/12*3</f>
        <v>69.25</v>
      </c>
      <c r="E62" s="9">
        <f>295/12*3</f>
        <v>73.75</v>
      </c>
      <c r="F62" s="19">
        <f>D62+E62</f>
        <v>143</v>
      </c>
      <c r="G62" s="72">
        <v>320</v>
      </c>
      <c r="H62" s="103">
        <f t="shared" si="2"/>
        <v>123.77622377622379</v>
      </c>
      <c r="I62" s="27" t="s">
        <v>138</v>
      </c>
    </row>
    <row r="63" spans="1:9" ht="24" customHeight="1" x14ac:dyDescent="0.25">
      <c r="A63" s="17" t="s">
        <v>82</v>
      </c>
      <c r="B63" s="20" t="s">
        <v>83</v>
      </c>
      <c r="C63" s="75" t="s">
        <v>5</v>
      </c>
      <c r="D63" s="19">
        <f>1299/12*3</f>
        <v>324.75</v>
      </c>
      <c r="E63" s="9">
        <f>2225/12*3</f>
        <v>556.25</v>
      </c>
      <c r="F63" s="19">
        <f>D63+E63</f>
        <v>881</v>
      </c>
      <c r="G63" s="72">
        <v>866</v>
      </c>
      <c r="H63" s="103">
        <f t="shared" si="2"/>
        <v>-1.7026106696935273</v>
      </c>
      <c r="I63" s="27" t="s">
        <v>138</v>
      </c>
    </row>
    <row r="64" spans="1:9" ht="22.5" customHeight="1" x14ac:dyDescent="0.25">
      <c r="A64" s="15" t="s">
        <v>84</v>
      </c>
      <c r="B64" s="12" t="s">
        <v>85</v>
      </c>
      <c r="C64" s="13" t="s">
        <v>5</v>
      </c>
      <c r="D64" s="16">
        <f>726/12*3</f>
        <v>181.5</v>
      </c>
      <c r="E64" s="11"/>
      <c r="F64" s="10">
        <f>D65+E65</f>
        <v>89</v>
      </c>
      <c r="G64" s="11">
        <v>119</v>
      </c>
      <c r="H64" s="103">
        <f t="shared" si="2"/>
        <v>33.707865168539314</v>
      </c>
      <c r="I64" s="27" t="s">
        <v>138</v>
      </c>
    </row>
    <row r="65" spans="1:11" ht="21" customHeight="1" x14ac:dyDescent="0.25">
      <c r="A65" s="15" t="s">
        <v>86</v>
      </c>
      <c r="B65" s="12" t="s">
        <v>87</v>
      </c>
      <c r="C65" s="13" t="s">
        <v>5</v>
      </c>
      <c r="D65" s="10">
        <f>356/12*3</f>
        <v>89</v>
      </c>
      <c r="E65" s="11"/>
      <c r="F65" s="10">
        <f>D65+E65</f>
        <v>89</v>
      </c>
      <c r="G65" s="11">
        <v>92</v>
      </c>
      <c r="H65" s="103">
        <f t="shared" si="2"/>
        <v>3.3707865168539399</v>
      </c>
      <c r="I65" s="27" t="s">
        <v>138</v>
      </c>
    </row>
    <row r="66" spans="1:11" ht="24.75" customHeight="1" x14ac:dyDescent="0.25">
      <c r="A66" s="15"/>
      <c r="B66" s="12" t="s">
        <v>88</v>
      </c>
      <c r="C66" s="13" t="s">
        <v>38</v>
      </c>
      <c r="D66" s="10"/>
      <c r="E66" s="11"/>
      <c r="F66" s="10"/>
      <c r="G66" s="11">
        <v>1180</v>
      </c>
      <c r="H66" s="103"/>
      <c r="I66" s="27"/>
    </row>
    <row r="67" spans="1:11" ht="21" customHeight="1" x14ac:dyDescent="0.25">
      <c r="A67" s="1" t="s">
        <v>89</v>
      </c>
      <c r="B67" s="5" t="s">
        <v>90</v>
      </c>
      <c r="C67" s="3" t="s">
        <v>5</v>
      </c>
      <c r="D67" s="21">
        <f>D13+D40</f>
        <v>75300.5</v>
      </c>
      <c r="E67" s="21">
        <f>E13+E40</f>
        <v>103629.25</v>
      </c>
      <c r="F67" s="21">
        <f>D67+E67/2</f>
        <v>127115.125</v>
      </c>
      <c r="G67" s="21">
        <f>G13+G40</f>
        <v>181302</v>
      </c>
      <c r="H67" s="103">
        <f t="shared" si="2"/>
        <v>42.628188423682843</v>
      </c>
      <c r="I67" s="27" t="s">
        <v>138</v>
      </c>
    </row>
    <row r="68" spans="1:11" ht="35.25" customHeight="1" x14ac:dyDescent="0.25">
      <c r="A68" s="77" t="s">
        <v>91</v>
      </c>
      <c r="B68" s="78" t="s">
        <v>92</v>
      </c>
      <c r="C68" s="79" t="s">
        <v>5</v>
      </c>
      <c r="D68" s="80">
        <v>0</v>
      </c>
      <c r="E68" s="80">
        <v>1378</v>
      </c>
      <c r="F68" s="80">
        <f>D68+E68</f>
        <v>1378</v>
      </c>
      <c r="G68" s="114">
        <f>G71-G67</f>
        <v>-31918</v>
      </c>
      <c r="H68" s="103"/>
      <c r="I68" s="27" t="s">
        <v>140</v>
      </c>
    </row>
    <row r="69" spans="1:11" ht="27.75" customHeight="1" x14ac:dyDescent="0.25">
      <c r="A69" s="81" t="s">
        <v>93</v>
      </c>
      <c r="B69" s="82" t="s">
        <v>94</v>
      </c>
      <c r="C69" s="79" t="s">
        <v>38</v>
      </c>
      <c r="D69" s="83">
        <v>60129.5</v>
      </c>
      <c r="E69" s="83"/>
      <c r="F69" s="83"/>
      <c r="G69" s="83"/>
      <c r="H69" s="103"/>
      <c r="I69" s="27"/>
    </row>
    <row r="70" spans="1:11" ht="19.5" customHeight="1" x14ac:dyDescent="0.25">
      <c r="A70" s="101"/>
      <c r="B70" s="82" t="s">
        <v>135</v>
      </c>
      <c r="C70" s="79"/>
      <c r="D70" s="83"/>
      <c r="E70" s="102">
        <v>-1612</v>
      </c>
      <c r="F70" s="83"/>
      <c r="G70" s="102"/>
      <c r="H70" s="103"/>
      <c r="I70" s="27"/>
    </row>
    <row r="71" spans="1:11" ht="42.75" customHeight="1" x14ac:dyDescent="0.25">
      <c r="A71" s="84" t="s">
        <v>95</v>
      </c>
      <c r="B71" s="82" t="s">
        <v>96</v>
      </c>
      <c r="C71" s="79" t="s">
        <v>5</v>
      </c>
      <c r="D71" s="80">
        <v>83269</v>
      </c>
      <c r="E71" s="85">
        <v>105007</v>
      </c>
      <c r="F71" s="80">
        <f>D71+E71</f>
        <v>188276</v>
      </c>
      <c r="G71" s="113">
        <v>149384</v>
      </c>
      <c r="H71" s="103">
        <f t="shared" si="2"/>
        <v>-20.656907943657188</v>
      </c>
      <c r="I71" s="27" t="s">
        <v>140</v>
      </c>
    </row>
    <row r="72" spans="1:11" ht="21" customHeight="1" x14ac:dyDescent="0.25">
      <c r="A72" s="22" t="s">
        <v>97</v>
      </c>
      <c r="B72" s="78" t="s">
        <v>98</v>
      </c>
      <c r="C72" s="86" t="s">
        <v>99</v>
      </c>
      <c r="D72" s="87">
        <v>100.84</v>
      </c>
      <c r="E72" s="88">
        <v>98.76</v>
      </c>
      <c r="F72" s="87">
        <f>D72+E72</f>
        <v>199.60000000000002</v>
      </c>
      <c r="G72" s="88">
        <v>144.95099999999999</v>
      </c>
      <c r="H72" s="103">
        <f t="shared" si="2"/>
        <v>-27.379258517034074</v>
      </c>
      <c r="I72" s="27" t="s">
        <v>141</v>
      </c>
      <c r="K72" s="89"/>
    </row>
    <row r="73" spans="1:11" ht="85.5" customHeight="1" x14ac:dyDescent="0.25">
      <c r="A73" s="22" t="s">
        <v>100</v>
      </c>
      <c r="B73" s="90" t="s">
        <v>101</v>
      </c>
      <c r="C73" s="79" t="s">
        <v>102</v>
      </c>
      <c r="D73" s="91">
        <v>825.76</v>
      </c>
      <c r="E73" s="92">
        <v>1063.22</v>
      </c>
      <c r="F73" s="91"/>
      <c r="G73" s="92" t="s">
        <v>136</v>
      </c>
      <c r="H73" s="103"/>
      <c r="I73" s="93" t="s">
        <v>137</v>
      </c>
    </row>
    <row r="74" spans="1:11" x14ac:dyDescent="0.25">
      <c r="A74" s="94"/>
      <c r="B74" s="23" t="s">
        <v>113</v>
      </c>
      <c r="C74" s="124" t="s">
        <v>114</v>
      </c>
      <c r="D74" s="124"/>
      <c r="E74" s="124"/>
    </row>
    <row r="75" spans="1:11" ht="13.5" customHeight="1" x14ac:dyDescent="0.25">
      <c r="B75" s="24" t="s">
        <v>115</v>
      </c>
      <c r="C75" s="117" t="s">
        <v>116</v>
      </c>
      <c r="D75" s="117"/>
      <c r="E75" s="117"/>
    </row>
    <row r="76" spans="1:11" x14ac:dyDescent="0.25">
      <c r="B76" s="24" t="s">
        <v>117</v>
      </c>
      <c r="C76" s="125" t="s">
        <v>118</v>
      </c>
      <c r="D76" s="125"/>
      <c r="E76" s="125"/>
    </row>
    <row r="77" spans="1:11" x14ac:dyDescent="0.25">
      <c r="B77" s="24" t="s">
        <v>119</v>
      </c>
      <c r="C77" s="116" t="s">
        <v>127</v>
      </c>
      <c r="D77" s="117"/>
      <c r="E77" s="117"/>
    </row>
    <row r="78" spans="1:11" x14ac:dyDescent="0.25">
      <c r="B78" s="24" t="s">
        <v>120</v>
      </c>
      <c r="C78" s="117" t="s">
        <v>126</v>
      </c>
      <c r="D78" s="117"/>
      <c r="E78" s="117"/>
    </row>
    <row r="79" spans="1:11" x14ac:dyDescent="0.25">
      <c r="B79" s="24" t="s">
        <v>121</v>
      </c>
      <c r="C79" s="117" t="s">
        <v>130</v>
      </c>
      <c r="D79" s="117"/>
      <c r="E79" s="117"/>
    </row>
    <row r="80" spans="1:11" x14ac:dyDescent="0.25">
      <c r="B80" s="24" t="s">
        <v>142</v>
      </c>
      <c r="C80" s="95"/>
      <c r="D80" s="95"/>
      <c r="E80" s="95"/>
    </row>
    <row r="81" spans="2:5" x14ac:dyDescent="0.25">
      <c r="B81" s="24" t="s">
        <v>122</v>
      </c>
      <c r="C81" s="95"/>
      <c r="D81" s="95"/>
      <c r="E81" s="95"/>
    </row>
  </sheetData>
  <mergeCells count="22">
    <mergeCell ref="B8:F8"/>
    <mergeCell ref="E1:G1"/>
    <mergeCell ref="E2:G2"/>
    <mergeCell ref="B3:F3"/>
    <mergeCell ref="B4:G4"/>
    <mergeCell ref="B5:F5"/>
    <mergeCell ref="A10:A11"/>
    <mergeCell ref="B10:B11"/>
    <mergeCell ref="C10:C11"/>
    <mergeCell ref="D10:D11"/>
    <mergeCell ref="E10:E11"/>
    <mergeCell ref="I10:I11"/>
    <mergeCell ref="C74:E74"/>
    <mergeCell ref="C75:E75"/>
    <mergeCell ref="C76:E76"/>
    <mergeCell ref="B9:F9"/>
    <mergeCell ref="F10:F11"/>
    <mergeCell ref="C77:E77"/>
    <mergeCell ref="C78:E78"/>
    <mergeCell ref="C79:E79"/>
    <mergeCell ref="G10:G11"/>
    <mergeCell ref="H10:H11"/>
  </mergeCells>
  <hyperlinks>
    <hyperlink ref="C77" r:id="rId1"/>
  </hyperlinks>
  <pageMargins left="0.23622047244094491" right="0.23622047244094491" top="0.74803149606299213" bottom="0.74803149606299213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полуг.2021года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2021-12-28T08:45:37Z</cp:lastPrinted>
  <dcterms:created xsi:type="dcterms:W3CDTF">2015-11-04T11:10:16Z</dcterms:created>
  <dcterms:modified xsi:type="dcterms:W3CDTF">2021-12-30T04:52:49Z</dcterms:modified>
</cp:coreProperties>
</file>